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<sst xmlns="http://schemas.openxmlformats.org/spreadsheetml/2006/main" count="1868" uniqueCount="665">
  <si>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</si>
  <si>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</si>
  <si>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</si>
  <si>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</si>
  <si>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</si>
  <si>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</si>
  <si>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</si>
  <si>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</si>
  <si>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</si>
  <si>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</si>
  <si>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</si>
  <si>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</si>
  <si>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</si>
  <si>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</si>
  <si>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</si>
  <si>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</si>
  <si>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</si>
  <si>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</si>
  <si>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</si>
  <si>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</si>
  <si>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</si>
  <si>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</si>
  <si>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</si>
  <si>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</si>
  <si>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</si>
  <si>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</si>
  <si>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</si>
  <si>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</si>
  <si>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</si>
  <si>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</si>
  <si>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</si>
  <si>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</si>
  <si>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</si>
  <si>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</si>
  <si>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</si>
  <si>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</si>
  <si>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</si>
  <si>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</si>
  <si>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</si>
  <si>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</si>
  <si>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</si>
  <si>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</si>
  <si>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</si>
  <si>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</si>
  <si>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</si>
  <si>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</si>
  <si>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</si>
  <si>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</si>
  <si>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</si>
  <si>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</si>
  <si>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</si>
  <si>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</si>
  <si>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</si>
  <si>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</si>
  <si>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</si>
  <si>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</si>
  <si>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</si>
  <si>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</si>
  <si>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</si>
  <si>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</si>
  <si>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</si>
  <si>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</si>
  <si>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</si>
  <si>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</si>
  <si>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</si>
  <si>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</si>
  <si>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</si>
  <si>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</si>
  <si>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</si>
  <si>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</si>
  <si>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</si>
  <si>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</si>
  <si>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</si>
  <si>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</si>
  <si>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</si>
  <si>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</si>
  <si>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</si>
  <si>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</si>
  <si>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</si>
  <si>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</si>
  <si>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</si>
  <si>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</si>
  <si>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</si>
  <si>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</si>
  <si>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</si>
  <si>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</si>
  <si>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</si>
  <si>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</si>
  <si>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</si>
  <si>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</si>
  <si>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</si>
  <si>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</si>
  <si>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</si>
  <si>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</si>
  <si>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</si>
  <si>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</si>
  <si>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</si>
  <si>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</si>
  <si>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</si>
  <si>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</si>
  <si>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</si>
  <si>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</si>
  <si>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</si>
  <si>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</si>
  <si>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</si>
  <si>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</si>
  <si>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</si>
  <si>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</si>
  <si>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</si>
  <si>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</si>
  <si>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</si>
  <si>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</si>
  <si>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</si>
  <si>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</si>
  <si>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</si>
  <si>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</si>
  <si>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</si>
  <si>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</si>
  <si>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</si>
  <si>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</si>
  <si>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</si>
  <si>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</si>
  <si>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</si>
  <si>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</si>
  <si>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</si>
  <si>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</si>
  <si>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</si>
  <si>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</si>
  <si>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</si>
  <si>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</si>
  <si>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</si>
  <si>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</si>
  <si>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</si>
  <si>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</si>
  <si>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</si>
  <si>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</si>
  <si>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</si>
  <si>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</si>
  <si>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</si>
  <si>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</si>
  <si>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</si>
  <si>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</si>
  <si>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</si>
  <si>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</si>
  <si>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</si>
  <si>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</si>
  <si>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</si>
  <si>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</si>
  <si>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</si>
  <si>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</si>
  <si>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</si>
  <si>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</si>
  <si>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</si>
  <si>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</si>
  <si>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</si>
  <si>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</si>
  <si>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</si>
  <si>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</si>
  <si>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</si>
  <si>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</si>
  <si>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</si>
  <si>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</si>
  <si>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</si>
  <si>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</si>
  <si>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</si>
  <si>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</si>
  <si>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</si>
  <si>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</si>
  <si>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</si>
  <si>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</si>
  <si>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</si>
  <si>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</si>
  <si>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</si>
  <si>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</si>
  <si>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</si>
  <si>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</si>
  <si>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</si>
  <si>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</si>
  <si>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</si>
  <si>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</si>
  <si>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</si>
  <si>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</si>
  <si>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</si>
  <si>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</si>
  <si>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</si>
  <si>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</si>
  <si>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</si>
  <si>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</si>
  <si>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</si>
  <si>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</si>
  <si>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</si>
  <si>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</si>
  <si>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</si>
  <si>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</si>
  <si>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</si>
  <si>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</si>
  <si>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</si>
  <si>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</si>
  <si>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</si>
  <si>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</si>
  <si>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</si>
  <si>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</si>
  <si>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</si>
  <si>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</si>
  <si>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</si>
  <si>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</si>
  <si>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</si>
  <si>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</si>
  <si>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</si>
  <si>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</si>
  <si>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</si>
  <si>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</si>
  <si>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</si>
  <si>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</si>
  <si>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</si>
  <si>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</si>
  <si>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</si>
  <si>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</si>
  <si>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</si>
  <si>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</si>
  <si>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</si>
  <si>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</si>
  <si>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</si>
  <si>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</si>
  <si>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</si>
  <si>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</si>
  <si>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</si>
  <si>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</si>
  <si>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</si>
  <si>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</si>
  <si>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</si>
  <si>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</si>
  <si>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</si>
  <si>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</si>
  <si>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</si>
  <si>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</si>
  <si>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</si>
  <si>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</si>
  <si>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</si>
  <si>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</si>
  <si>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</si>
  <si>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</si>
  <si>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</si>
  <si>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</si>
  <si>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</si>
  <si>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</si>
  <si>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</si>
  <si>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</si>
  <si>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</si>
  <si>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</si>
  <si>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</si>
  <si>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</si>
  <si>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</si>
  <si>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</si>
  <si>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</si>
  <si>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</si>
  <si>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</si>
  <si>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</si>
  <si>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</si>
  <si>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</si>
  <si>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</si>
  <si>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</si>
  <si>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</si>
  <si>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</si>
  <si>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</si>
  <si>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</si>
  <si>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</si>
  <si>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</si>
  <si>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</si>
  <si>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</si>
  <si>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</si>
  <si>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</si>
  <si>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</si>
  <si>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</si>
  <si>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</si>
  <si>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</si>
  <si>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</si>
  <si>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</si>
  <si>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</si>
  <si>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</si>
  <si>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</si>
  <si>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</si>
  <si>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</si>
  <si>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</si>
  <si>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</si>
  <si>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</si>
  <si>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</si>
  <si>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</si>
  <si>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</si>
  <si>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</si>
  <si>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</si>
  <si>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</si>
  <si>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</si>
  <si>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</si>
  <si>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</si>
  <si>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</si>
  <si>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</si>
  <si>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</si>
  <si>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</si>
  <si>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</si>
  <si>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</si>
  <si>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</si>
  <si>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</si>
  <si>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</si>
  <si>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</si>
  <si>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</si>
  <si>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</si>
  <si>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</si>
  <si>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</si>
  <si>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</si>
  <si>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</si>
  <si>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</si>
  <si>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</si>
  <si>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</si>
  <si>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</si>
  <si>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</si>
  <si>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</si>
  <si>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</si>
  <si>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</si>
  <si>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</si>
  <si>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</si>
  <si>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</si>
  <si>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</si>
  <si>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</si>
  <si>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</si>
  <si>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</si>
  <si>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</si>
  <si>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</si>
  <si>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</si>
  <si>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</si>
  <si>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</si>
  <si>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</si>
  <si>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</si>
  <si>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</si>
  <si>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</si>
  <si>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</si>
  <si>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</si>
  <si>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</si>
  <si>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</si>
  <si>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</si>
  <si>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</si>
  <si>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</si>
  <si>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</si>
  <si>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</si>
  <si>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</si>
  <si>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</si>
  <si>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</si>
  <si>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</si>
  <si>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</si>
  <si>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</si>
  <si>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</si>
  <si>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</si>
  <si>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</si>
  <si>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</si>
  <si>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</si>
  <si>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</si>
  <si>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</si>
  <si>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</si>
  <si>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</si>
  <si>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</si>
  <si>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</si>
  <si>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</si>
  <si>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</si>
  <si>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</si>
  <si>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</si>
  <si>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</si>
  <si>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</si>
  <si>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</si>
  <si>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</si>
  <si>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</si>
  <si>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</si>
  <si>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</si>
  <si>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</si>
  <si>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</si>
  <si>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</si>
  <si>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</si>
  <si>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</si>
  <si>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</si>
  <si>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</si>
  <si>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</si>
  <si>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</si>
  <si>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</si>
  <si>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</si>
  <si>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</si>
  <si>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</si>
  <si>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</si>
  <si>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</si>
  <si>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</si>
  <si>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</si>
  <si>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</si>
  <si>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</si>
  <si>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</si>
  <si>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</si>
  <si>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</si>
  <si>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</si>
  <si>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</si>
  <si>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</si>
  <si>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</si>
  <si>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</si>
  <si>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</si>
  <si>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</si>
  <si>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</si>
  <si>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</si>
  <si>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</si>
  <si>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</si>
  <si>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</si>
  <si>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</si>
  <si>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</si>
  <si>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</si>
  <si>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</si>
  <si>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</si>
  <si>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</si>
  <si>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</si>
  <si>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</si>
  <si>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</si>
  <si>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</si>
  <si>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</si>
  <si>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</si>
  <si>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</si>
  <si>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</si>
  <si>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</si>
  <si>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</si>
  <si>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</si>
  <si>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</si>
  <si>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</si>
  <si>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</si>
  <si>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</si>
  <si>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</si>
  <si>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</si>
  <si>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</si>
  <si>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</si>
  <si>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</si>
  <si>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</si>
  <si>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</si>
  <si>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</si>
  <si>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</si>
  <si>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</si>
  <si>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</si>
  <si>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</si>
  <si>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</si>
  <si>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</si>
  <si>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</si>
  <si>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</si>
  <si>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</si>
  <si>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</si>
  <si>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</si>
  <si>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</si>
  <si>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</si>
  <si>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</si>
  <si>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</si>
  <si>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</si>
  <si>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</si>
  <si>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</si>
  <si>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</si>
  <si>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</si>
  <si>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</si>
  <si>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</si>
  <si>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</si>
  <si>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</si>
  <si>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</si>
  <si>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</si>
  <si>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</si>
  <si>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</si>
  <si>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</si>
  <si>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</si>
  <si>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</si>
  <si>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</si>
  <si>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</si>
  <si>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</si>
  <si>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</si>
  <si>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</si>
  <si>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</si>
  <si>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</si>
  <si>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</si>
  <si>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</si>
  <si>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</si>
  <si>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</si>
  <si>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</si>
  <si>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</si>
  <si>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</si>
  <si>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</si>
  <si>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</si>
  <si>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</si>
  <si>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</si>
  <si>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</si>
  <si>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</si>
  <si>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</si>
  <si>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</si>
  <si>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</si>
  <si>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</si>
  <si>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</si>
  <si>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</si>
  <si>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</si>
  <si>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</si>
  <si>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</si>
  <si>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</si>
  <si>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</si>
  <si>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</si>
  <si>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</si>
  <si>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</si>
  <si>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</si>
  <si>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</si>
  <si>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</si>
  <si>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</si>
  <si>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</si>
  <si>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</si>
  <si>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</si>
  <si>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</si>
  <si>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</si>
  <si>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</si>
  <si>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</si>
  <si>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</si>
  <si>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</si>
  <si>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</si>
  <si>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</si>
  <si>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</si>
  <si>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</si>
  <si>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</si>
  <si>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</si>
  <si>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</si>
  <si>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</si>
  <si>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</si>
  <si>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</si>
  <si>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</si>
  <si>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</si>
  <si>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</si>
  <si>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</si>
  <si>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</si>
  <si>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</si>
  <si>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</si>
  <si>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</si>
  <si>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</si>
  <si>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</si>
  <si>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</si>
  <si>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</si>
  <si>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</si>
  <si>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</si>
  <si>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</si>
  <si>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</si>
  <si>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</si>
  <si>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</si>
  <si>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</si>
  <si>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</si>
  <si>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</si>
  <si>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</si>
  <si>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</si>
  <si>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</si>
  <si>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</si>
  <si>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</si>
  <si>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</si>
  <si>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</si>
  <si>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</si>
  <si>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</si>
  <si>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</si>
  <si>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</si>
  <si>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</si>
  <si>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</si>
  <si>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</si>
  <si>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</si>
  <si>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</si>
  <si>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</si>
  <si>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</si>
  <si>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</si>
  <si>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</si>
  <si>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</si>
  <si>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</si>
  <si>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</si>
  <si>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</si>
  <si>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</si>
  <si>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</si>
  <si>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</si>
  <si>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</si>
  <si>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</si>
  <si>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</si>
  <si>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</si>
  <si>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</si>
  <si>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</si>
  <si>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</si>
  <si>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</si>
  <si>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</si>
  <si>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</si>
  <si>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</si>
  <si>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</si>
  <si>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</si>
  <si>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</si>
  <si>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</si>
  <si>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</si>
  <si>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</si>
  <si>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</si>
  <si>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</si>
  <si>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</si>
  <si>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</si>
  <si>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</si>
  <si>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</si>
  <si>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</si>
  <si>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</si>
  <si>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</si>
  <si>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</si>
  <si>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</si>
  <si>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</si>
  <si>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</si>
  <si>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</si>
  <si>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</si>
  <si>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</si>
  <si>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</si>
  <si>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</si>
  <si>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</si>
  <si>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</si>
  <si>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</si>
  <si>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</si>
  <si>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</si>
  <si>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</si>
  <si>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</si>
  <si>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</si>
  <si>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</si>
  <si>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</si>
  <si>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</si>
  <si>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</si>
  <si>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</si>
  <si>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</si>
  <si>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</si>
  <si>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</si>
  <si>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</si>
  <si>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</si>
  <si>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</si>
  <si>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</si>
  <si>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</si>
  <si>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</si>
  <si>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</si>
  <si>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</si>
  <si>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</si>
  <si>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</si>
  <si>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</si>
  <si>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</si>
  <si>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</si>
  <si>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</si>
  <si>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</si>
  <si>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</si>
  <si>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</si>
  <si>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</si>
  <si>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</si>
  <si>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</si>
  <si>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</si>
  <si>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</si>
  <si>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</si>
  <si>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</si>
  <si>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</si>
  <si>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</si>
  <si>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</si>
  <si>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</si>
  <si>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</si>
  <si>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</si>
  <si>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</si>
  <si>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</si>
  <si>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</si>
  <si>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</si>
  <si>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</si>
  <si>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</si>
  <si>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</si>
  <si>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</si>
  <si>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</si>
  <si>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ГР. СОФИЯ, УЛ. ДОБРУДЖА 6</t>
  </si>
  <si>
    <t xml:space="preserve">ГР. СОФИЯ, УЛ. ДОБРУДЖА 6 </t>
  </si>
  <si>
    <t xml:space="preserve"> office@icpd.bg</t>
  </si>
  <si>
    <t>ОПТИМА ОДИТ АД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</si>
</sst>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44469</v>
      </c>
    </row>
    <row r="2" spans="1:27" ht="15.75">
      <c r="A2" s="420" t="s">
        <v>652</v>
      </c>
      <c r="B2" s="415"/>
      <c r="Z2" s="432">
        <v>2</v>
      </c>
      <c r="AA2" s="433">
        <f>IF(ISBLANK(_pdeReportingDate),"",_pdeReportingDate)</f>
        <v>44529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ОПТИМА ОДИТ АД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44197</v>
      </c>
    </row>
    <row r="10" spans="1:2" ht="15.75">
      <c r="A10" s="7" t="s">
        <v>2</v>
      </c>
      <c r="B10" s="313">
        <v>44469</v>
      </c>
    </row>
    <row r="11" spans="1:2" ht="15.75">
      <c r="A11" s="7" t="s">
        <v>640</v>
      </c>
      <c r="B11" s="313">
        <v>44529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595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661</v>
      </c>
    </row>
    <row r="20" spans="1:2" ht="15.75">
      <c r="A20" s="7" t="s">
        <v>5</v>
      </c>
      <c r="B20" s="312" t="s">
        <v>662</v>
      </c>
    </row>
    <row r="21" spans="1:2" ht="15.75">
      <c r="A21" s="10" t="s">
        <v>6</v>
      </c>
      <c r="B21" s="314" t="s">
        <v>658</v>
      </c>
    </row>
    <row r="22" spans="1:2" ht="15.75">
      <c r="A22" s="10" t="s">
        <v>583</v>
      </c>
      <c r="B22" s="314"/>
    </row>
    <row r="23" spans="1:2" ht="15.75">
      <c r="A23" s="10" t="s">
        <v>7</v>
      </c>
      <c r="B23" s="422" t="s">
        <v>663</v>
      </c>
    </row>
    <row r="24" spans="1:2" ht="15.75">
      <c r="A24" s="10" t="s">
        <v>584</v>
      </c>
      <c r="B24" s="423" t="s">
        <v>659</v>
      </c>
    </row>
    <row r="25" spans="1:2" ht="15.75">
      <c r="A25" s="7" t="s">
        <v>587</v>
      </c>
      <c r="B25" s="424" t="s">
        <v>660</v>
      </c>
    </row>
    <row r="26" spans="1:2" ht="15.75">
      <c r="A26" s="10" t="s">
        <v>633</v>
      </c>
      <c r="B26" s="314" t="s">
        <v>664</v>
      </c>
    </row>
    <row r="27" spans="1:2" ht="15.75">
      <c r="A27" s="10" t="s">
        <v>634</v>
      </c>
      <c r="B27" s="314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91">
      <selection activeCell="D14" sqref="D1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v>7549</v>
      </c>
      <c r="D12" s="119">
        <v>7549</v>
      </c>
      <c r="E12" s="66" t="s">
        <v>25</v>
      </c>
      <c r="F12" s="69" t="s">
        <v>26</v>
      </c>
      <c r="G12" s="119">
        <f>27766+10+5-10-5</f>
        <v>27766</v>
      </c>
      <c r="H12" s="119">
        <f>27766+5+10-5-10</f>
        <v>27766</v>
      </c>
    </row>
    <row r="13" spans="1:8" ht="15.75">
      <c r="A13" s="66" t="s">
        <v>27</v>
      </c>
      <c r="B13" s="68" t="s">
        <v>28</v>
      </c>
      <c r="C13" s="119">
        <v>284</v>
      </c>
      <c r="D13" s="119">
        <v>284</v>
      </c>
      <c r="E13" s="66" t="s">
        <v>525</v>
      </c>
      <c r="F13" s="69" t="s">
        <v>29</v>
      </c>
      <c r="G13" s="119">
        <v>27766</v>
      </c>
      <c r="H13" s="119">
        <f>27766+5+10-5-10</f>
        <v>27766</v>
      </c>
    </row>
    <row r="14" spans="1:8" ht="15.75">
      <c r="A14" s="66" t="s">
        <v>30</v>
      </c>
      <c r="B14" s="68" t="s">
        <v>31</v>
      </c>
      <c r="C14" s="119">
        <f>5+7</f>
        <v>12</v>
      </c>
      <c r="D14" s="119">
        <v>16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45</v>
      </c>
      <c r="D16" s="119">
        <v>62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14</v>
      </c>
      <c r="D17" s="119">
        <v>4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7273</v>
      </c>
      <c r="D18" s="119">
        <v>7273</v>
      </c>
      <c r="E18" s="246" t="s">
        <v>47</v>
      </c>
      <c r="F18" s="245" t="s">
        <v>48</v>
      </c>
      <c r="G18" s="344">
        <f>G12+G15+G16+G17</f>
        <v>27766</v>
      </c>
      <c r="H18" s="345">
        <f>H12+H15+H16+H17</f>
        <v>27766</v>
      </c>
    </row>
    <row r="19" spans="1:8" ht="15.75">
      <c r="A19" s="66" t="s">
        <v>49</v>
      </c>
      <c r="B19" s="68" t="s">
        <v>50</v>
      </c>
      <c r="C19" s="119"/>
      <c r="D19" s="119">
        <v>0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15177</v>
      </c>
      <c r="D20" s="333">
        <f>SUM(D12:D19)</f>
        <v>15188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1">
        <v>19712</v>
      </c>
      <c r="D21" s="241">
        <v>24968</v>
      </c>
      <c r="E21" s="66" t="s">
        <v>58</v>
      </c>
      <c r="F21" s="69" t="s">
        <v>59</v>
      </c>
      <c r="G21" s="119">
        <v>7508</v>
      </c>
      <c r="H21" s="119">
        <v>7508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1</v>
      </c>
      <c r="H22" s="349">
        <f>SUM(H23:H25)</f>
        <v>1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2">
        <f>G20+G21+G22</f>
        <v>15160</v>
      </c>
      <c r="H26" s="333">
        <f>H20+H21+H22</f>
        <v>15160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0</v>
      </c>
      <c r="D28" s="333">
        <f>SUM(D24:D27)</f>
        <v>0</v>
      </c>
      <c r="E28" s="124" t="s">
        <v>84</v>
      </c>
      <c r="F28" s="69" t="s">
        <v>85</v>
      </c>
      <c r="G28" s="330">
        <f>SUM(G29:G31)</f>
        <v>-22103</v>
      </c>
      <c r="H28" s="331">
        <f>SUM(H29:H31)</f>
        <v>-21747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v>9768</v>
      </c>
      <c r="H29" s="119">
        <f>9466+302</f>
        <v>9768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>
        <f>-31515-356</f>
        <v>-31871</v>
      </c>
      <c r="H30" s="119">
        <v>-31515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>
        <f>-'2-Отчет за доходите'!G37</f>
        <v>-1143</v>
      </c>
      <c r="H33" s="119">
        <v>-356</v>
      </c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-23246</v>
      </c>
      <c r="H34" s="333">
        <f>H28+H32+H33</f>
        <v>-22103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f>10+5-10-5</f>
        <v>0</v>
      </c>
      <c r="D36" s="118">
        <v>0</v>
      </c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19680</v>
      </c>
      <c r="H37" s="335">
        <f>H26+H18+H34</f>
        <v>20823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47</v>
      </c>
      <c r="H45" s="119">
        <v>11779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11735</v>
      </c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6281+3266</f>
        <v>9547</v>
      </c>
      <c r="H49" s="119">
        <v>2612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21329</v>
      </c>
      <c r="H50" s="331">
        <f>SUM(H44:H49)</f>
        <v>14391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3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21</v>
      </c>
      <c r="D55" s="243">
        <v>21</v>
      </c>
      <c r="E55" s="66" t="s">
        <v>168</v>
      </c>
      <c r="F55" s="71" t="s">
        <v>169</v>
      </c>
      <c r="G55" s="119">
        <v>1272</v>
      </c>
      <c r="H55" s="118">
        <v>1423</v>
      </c>
    </row>
    <row r="56" spans="1:13" ht="16.5" thickBot="1">
      <c r="A56" s="240" t="s">
        <v>170</v>
      </c>
      <c r="B56" s="130" t="s">
        <v>171</v>
      </c>
      <c r="C56" s="336">
        <f>C20+C21+C22+C28+C33+C46+C52+C54+C55</f>
        <v>34910</v>
      </c>
      <c r="D56" s="337">
        <f>D20+D21+D22+D28+D33+D46+D52+D54+D55</f>
        <v>40177</v>
      </c>
      <c r="E56" s="76" t="s">
        <v>529</v>
      </c>
      <c r="F56" s="75" t="s">
        <v>172</v>
      </c>
      <c r="G56" s="334">
        <f>G50+G52+G53+G54+G55</f>
        <v>22601</v>
      </c>
      <c r="H56" s="335">
        <f>H50+H52+H53+H54+H55</f>
        <v>15814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586</v>
      </c>
      <c r="D59" s="119">
        <v>586</v>
      </c>
      <c r="E59" s="123" t="s">
        <v>180</v>
      </c>
      <c r="F59" s="251" t="s">
        <v>181</v>
      </c>
      <c r="G59" s="119">
        <v>6</v>
      </c>
      <c r="H59" s="119"/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9"/>
      <c r="M60" s="74"/>
    </row>
    <row r="61" spans="1:8" ht="15.75">
      <c r="A61" s="66" t="s">
        <v>182</v>
      </c>
      <c r="B61" s="68" t="s">
        <v>183</v>
      </c>
      <c r="C61" s="119">
        <v>240</v>
      </c>
      <c r="D61" s="119">
        <v>240</v>
      </c>
      <c r="E61" s="122" t="s">
        <v>188</v>
      </c>
      <c r="F61" s="69" t="s">
        <v>189</v>
      </c>
      <c r="G61" s="330">
        <f>SUM(G62:G68)</f>
        <v>2394</v>
      </c>
      <c r="H61" s="331">
        <f>SUM(H62:H68)</f>
        <v>2315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f>10+6849-10-6849</f>
        <v>0</v>
      </c>
      <c r="H62" s="119">
        <f>2626+10-10-1000-1626+75-75</f>
        <v>0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7+75+193-75</f>
        <v>200</v>
      </c>
      <c r="H64" s="119">
        <f>254+32</f>
        <v>286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826</v>
      </c>
      <c r="D65" s="333">
        <f>SUM(D59:D64)</f>
        <v>826</v>
      </c>
      <c r="E65" s="66" t="s">
        <v>201</v>
      </c>
      <c r="F65" s="69" t="s">
        <v>202</v>
      </c>
      <c r="G65" s="119">
        <f>1471+53</f>
        <v>1524</v>
      </c>
      <c r="H65" s="119">
        <f>1650+59</f>
        <v>1709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172+15+70</f>
        <v>257</v>
      </c>
      <c r="H66" s="119">
        <f>20+187+12</f>
        <v>219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f>1+32+30</f>
        <v>63</v>
      </c>
      <c r="H67" s="119">
        <f>4+8+30</f>
        <v>42</v>
      </c>
    </row>
    <row r="68" spans="1:8" ht="15.75">
      <c r="A68" s="66" t="s">
        <v>206</v>
      </c>
      <c r="B68" s="68" t="s">
        <v>207</v>
      </c>
      <c r="C68" s="119">
        <f>85+6884-6849-10-75</f>
        <v>35</v>
      </c>
      <c r="D68" s="119">
        <f>85+2708-1626-1000-47-10-75</f>
        <v>35</v>
      </c>
      <c r="E68" s="66" t="s">
        <v>212</v>
      </c>
      <c r="F68" s="69" t="s">
        <v>213</v>
      </c>
      <c r="G68" s="119">
        <f>336+6+8</f>
        <v>350</v>
      </c>
      <c r="H68" s="119">
        <f>49+2+8</f>
        <v>59</v>
      </c>
    </row>
    <row r="69" spans="1:8" ht="15.75">
      <c r="A69" s="66" t="s">
        <v>210</v>
      </c>
      <c r="B69" s="68" t="s">
        <v>211</v>
      </c>
      <c r="C69" s="119">
        <f>3063+2+313</f>
        <v>3378</v>
      </c>
      <c r="D69" s="119">
        <f>263+3068</f>
        <v>3331</v>
      </c>
      <c r="E69" s="123" t="s">
        <v>79</v>
      </c>
      <c r="F69" s="69" t="s">
        <v>216</v>
      </c>
      <c r="G69" s="119">
        <f>927+32+229</f>
        <v>1188</v>
      </c>
      <c r="H69" s="119">
        <f>269+7203-47-1</f>
        <v>7424</v>
      </c>
    </row>
    <row r="70" spans="1:8" ht="15.75">
      <c r="A70" s="66" t="s">
        <v>214</v>
      </c>
      <c r="B70" s="68" t="s">
        <v>215</v>
      </c>
      <c r="C70" s="119">
        <f>53+3911</f>
        <v>3964</v>
      </c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2">
        <f>G59+G60+G61+G69+G70</f>
        <v>3588</v>
      </c>
      <c r="H71" s="333">
        <f>H59+H60+H61+H69+H70</f>
        <v>9739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/>
      <c r="D73" s="119">
        <v>13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10+2662</f>
        <v>2672</v>
      </c>
      <c r="D75" s="119">
        <f>34+1868-3</f>
        <v>1899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10049</v>
      </c>
      <c r="D76" s="333">
        <f>SUM(D68:D75)</f>
        <v>5278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3588</v>
      </c>
      <c r="H79" s="335">
        <f>H71+H73+H75+H77</f>
        <v>9739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v>47</v>
      </c>
      <c r="D88" s="119">
        <f>63+1</f>
        <v>64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f>30+1</f>
        <v>31</v>
      </c>
      <c r="D89" s="119">
        <f>2+23</f>
        <v>25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78</v>
      </c>
      <c r="D92" s="333">
        <f>SUM(D88:D91)</f>
        <v>89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v>6</v>
      </c>
      <c r="D93" s="243">
        <v>6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10959</v>
      </c>
      <c r="D94" s="337">
        <f>D65+D76+D85+D92+D93</f>
        <v>6199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45869</v>
      </c>
      <c r="D95" s="339">
        <f>D94+D56</f>
        <v>46376</v>
      </c>
      <c r="E95" s="150" t="s">
        <v>607</v>
      </c>
      <c r="F95" s="254" t="s">
        <v>268</v>
      </c>
      <c r="G95" s="338">
        <f>G37+G40+G56+G79</f>
        <v>45869</v>
      </c>
      <c r="H95" s="339">
        <f>H37+H40+H56+H79</f>
        <v>46376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7" t="s">
        <v>640</v>
      </c>
      <c r="B98" s="435">
        <f>pdeReportingDate</f>
        <v>44529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ОПТИМА ОДИТ АД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15" sqref="C1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f>547</f>
        <v>547</v>
      </c>
      <c r="D12" s="234">
        <f>167+1</f>
        <v>168</v>
      </c>
      <c r="E12" s="116" t="s">
        <v>277</v>
      </c>
      <c r="F12" s="161" t="s">
        <v>278</v>
      </c>
      <c r="G12" s="234">
        <v>379</v>
      </c>
      <c r="H12" s="234">
        <v>274</v>
      </c>
    </row>
    <row r="13" spans="1:8" ht="15.75">
      <c r="A13" s="116" t="s">
        <v>279</v>
      </c>
      <c r="B13" s="112" t="s">
        <v>280</v>
      </c>
      <c r="C13" s="234">
        <f>112+307</f>
        <v>419</v>
      </c>
      <c r="D13" s="234">
        <f>165+44</f>
        <v>209</v>
      </c>
      <c r="E13" s="116" t="s">
        <v>281</v>
      </c>
      <c r="F13" s="161" t="s">
        <v>282</v>
      </c>
      <c r="G13" s="234">
        <f>5114+2</f>
        <v>5116</v>
      </c>
      <c r="H13" s="234">
        <f>1+294</f>
        <v>295</v>
      </c>
    </row>
    <row r="14" spans="1:8" ht="15.75">
      <c r="A14" s="116" t="s">
        <v>283</v>
      </c>
      <c r="B14" s="112" t="s">
        <v>284</v>
      </c>
      <c r="C14" s="234">
        <f>37</f>
        <v>37</v>
      </c>
      <c r="D14" s="234">
        <f>28+41</f>
        <v>69</v>
      </c>
      <c r="E14" s="166" t="s">
        <v>285</v>
      </c>
      <c r="F14" s="161" t="s">
        <v>286</v>
      </c>
      <c r="G14" s="234">
        <f>998+3</f>
        <v>1001</v>
      </c>
      <c r="H14" s="234">
        <v>614</v>
      </c>
    </row>
    <row r="15" spans="1:8" ht="15.75">
      <c r="A15" s="116" t="s">
        <v>287</v>
      </c>
      <c r="B15" s="112" t="s">
        <v>288</v>
      </c>
      <c r="C15" s="234">
        <f>30+641+8</f>
        <v>679</v>
      </c>
      <c r="D15" s="234">
        <f>11+30+360</f>
        <v>401</v>
      </c>
      <c r="E15" s="166" t="s">
        <v>79</v>
      </c>
      <c r="F15" s="161" t="s">
        <v>289</v>
      </c>
      <c r="G15" s="234">
        <v>2</v>
      </c>
      <c r="H15" s="234">
        <v>99</v>
      </c>
    </row>
    <row r="16" spans="1:8" ht="15.75">
      <c r="A16" s="116" t="s">
        <v>290</v>
      </c>
      <c r="B16" s="112" t="s">
        <v>291</v>
      </c>
      <c r="C16" s="234">
        <f>5+106+2</f>
        <v>113</v>
      </c>
      <c r="D16" s="234">
        <f>5+62</f>
        <v>67</v>
      </c>
      <c r="E16" s="157" t="s">
        <v>52</v>
      </c>
      <c r="F16" s="185" t="s">
        <v>292</v>
      </c>
      <c r="G16" s="363">
        <f>SUM(G12:G15)</f>
        <v>6498</v>
      </c>
      <c r="H16" s="364">
        <f>SUM(H12:H15)</f>
        <v>1282</v>
      </c>
    </row>
    <row r="17" spans="1:8" ht="31.5">
      <c r="A17" s="116" t="s">
        <v>293</v>
      </c>
      <c r="B17" s="112" t="s">
        <v>294</v>
      </c>
      <c r="C17" s="234"/>
      <c r="D17" s="234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4">
        <v>164</v>
      </c>
      <c r="H18" s="375"/>
    </row>
    <row r="19" spans="1:8" ht="15.75">
      <c r="A19" s="116" t="s">
        <v>299</v>
      </c>
      <c r="B19" s="112" t="s">
        <v>300</v>
      </c>
      <c r="C19" s="234">
        <f>5323+13</f>
        <v>5336</v>
      </c>
      <c r="D19" s="234">
        <f>109+440</f>
        <v>549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7131</v>
      </c>
      <c r="D22" s="364">
        <f>SUM(D12:D18)+D19</f>
        <v>1463</v>
      </c>
      <c r="E22" s="116" t="s">
        <v>309</v>
      </c>
      <c r="F22" s="158" t="s">
        <v>310</v>
      </c>
      <c r="G22" s="234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5"/>
    </row>
    <row r="25" spans="1:8" ht="31.5">
      <c r="A25" s="116" t="s">
        <v>316</v>
      </c>
      <c r="B25" s="158" t="s">
        <v>317</v>
      </c>
      <c r="C25" s="234">
        <f>536+23</f>
        <v>559</v>
      </c>
      <c r="D25" s="234">
        <v>734</v>
      </c>
      <c r="E25" s="116" t="s">
        <v>318</v>
      </c>
      <c r="F25" s="158" t="s">
        <v>319</v>
      </c>
      <c r="G25" s="234"/>
      <c r="H25" s="235"/>
    </row>
    <row r="26" spans="1:8" ht="31.5">
      <c r="A26" s="116" t="s">
        <v>320</v>
      </c>
      <c r="B26" s="158" t="s">
        <v>321</v>
      </c>
      <c r="C26" s="234">
        <v>1</v>
      </c>
      <c r="D26" s="234"/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>
        <v>1</v>
      </c>
      <c r="D27" s="234">
        <v>1</v>
      </c>
      <c r="E27" s="157" t="s">
        <v>104</v>
      </c>
      <c r="F27" s="159" t="s">
        <v>326</v>
      </c>
      <c r="G27" s="363">
        <f>SUM(G22:G26)</f>
        <v>0</v>
      </c>
      <c r="H27" s="364">
        <f>SUM(H22:H26)</f>
        <v>0</v>
      </c>
    </row>
    <row r="28" spans="1:8" ht="15.75">
      <c r="A28" s="116" t="s">
        <v>79</v>
      </c>
      <c r="B28" s="158" t="s">
        <v>327</v>
      </c>
      <c r="C28" s="234">
        <f>105+8</f>
        <v>113</v>
      </c>
      <c r="D28" s="234">
        <v>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674</v>
      </c>
      <c r="D29" s="364">
        <f>SUM(D25:D28)</f>
        <v>741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7805</v>
      </c>
      <c r="D31" s="370">
        <f>D29+D22</f>
        <v>2204</v>
      </c>
      <c r="E31" s="172" t="s">
        <v>521</v>
      </c>
      <c r="F31" s="187" t="s">
        <v>331</v>
      </c>
      <c r="G31" s="174">
        <f>G16+G18+G27</f>
        <v>6662</v>
      </c>
      <c r="H31" s="175">
        <f>H16+H18+H27</f>
        <v>1282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3">
        <f>IF((C31-G31)&gt;0,C31-G31,0)</f>
        <v>1143</v>
      </c>
      <c r="H33" s="364">
        <f>IF((D31-H31)&gt;0,D31-H31,0)</f>
        <v>922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4"/>
    </row>
    <row r="36" spans="1:8" ht="16.5" thickBot="1">
      <c r="A36" s="179" t="s">
        <v>344</v>
      </c>
      <c r="B36" s="177" t="s">
        <v>345</v>
      </c>
      <c r="C36" s="371">
        <f>C31-C34+C35</f>
        <v>7805</v>
      </c>
      <c r="D36" s="372">
        <f>D31-D34+D35</f>
        <v>2204</v>
      </c>
      <c r="E36" s="183" t="s">
        <v>346</v>
      </c>
      <c r="F36" s="177" t="s">
        <v>347</v>
      </c>
      <c r="G36" s="188">
        <f>G35-G34+G31</f>
        <v>6662</v>
      </c>
      <c r="H36" s="189">
        <f>H35-H34+H31</f>
        <v>1282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1143</v>
      </c>
      <c r="H37" s="175">
        <f>IF((D36-H36)&gt;0,D36-H36,0)</f>
        <v>922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1143</v>
      </c>
      <c r="H42" s="165">
        <f>IF(H37&gt;0,IF(D38+H37&lt;0,0,D38+H37),IF(D37-D38&lt;0,D38-D37,0))</f>
        <v>922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1143</v>
      </c>
      <c r="H44" s="189">
        <f>IF(D42=0,IF(H42-H43&gt;0,H42-H43+D43,0),IF(D42-D43&lt;0,D43-D42+H43,0))</f>
        <v>922</v>
      </c>
    </row>
    <row r="45" spans="1:8" ht="16.5" thickBot="1">
      <c r="A45" s="191" t="s">
        <v>371</v>
      </c>
      <c r="B45" s="192" t="s">
        <v>372</v>
      </c>
      <c r="C45" s="365">
        <f>C36+C38+C42</f>
        <v>7805</v>
      </c>
      <c r="D45" s="366">
        <f>D36+D38+D42</f>
        <v>2204</v>
      </c>
      <c r="E45" s="191" t="s">
        <v>373</v>
      </c>
      <c r="F45" s="193" t="s">
        <v>374</v>
      </c>
      <c r="G45" s="365">
        <f>G42+G36</f>
        <v>7805</v>
      </c>
      <c r="H45" s="366">
        <f>H42+H36</f>
        <v>2204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7" t="s">
        <v>640</v>
      </c>
      <c r="B50" s="435">
        <f>pdeReportingDate</f>
        <v>44529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ОПТИМА ОДИТ АД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.75">
      <c r="A59" s="429"/>
      <c r="B59" s="434"/>
      <c r="C59" s="434"/>
      <c r="D59" s="434"/>
      <c r="E59" s="434"/>
      <c r="F59" s="309"/>
      <c r="G59" s="37"/>
      <c r="H59" s="35"/>
    </row>
    <row r="60" spans="1:8" ht="15.75">
      <c r="A60" s="429"/>
      <c r="B60" s="434"/>
      <c r="C60" s="434"/>
      <c r="D60" s="434"/>
      <c r="E60" s="434"/>
      <c r="F60" s="309"/>
      <c r="G60" s="37"/>
      <c r="H60" s="35"/>
    </row>
    <row r="61" spans="1:8" ht="15.75">
      <c r="A61" s="429"/>
      <c r="B61" s="434"/>
      <c r="C61" s="434"/>
      <c r="D61" s="434"/>
      <c r="E61" s="434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30.09.2021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f>3+6429+5939-992</f>
        <v>11379</v>
      </c>
      <c r="D11" s="119">
        <f>1000+753</f>
        <v>1753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-4916-3-5536+992</f>
        <v>-9463</v>
      </c>
      <c r="D12" s="119">
        <v>-1580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-38-476</f>
        <v>-514</v>
      </c>
      <c r="D14" s="119">
        <v>-411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-650-228</f>
        <v>-878</v>
      </c>
      <c r="D15" s="119">
        <v>-76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-8</v>
      </c>
      <c r="D18" s="119">
        <v>-6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-1-1</f>
        <v>-2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-93-1+301</f>
        <v>207</v>
      </c>
      <c r="D20" s="119">
        <v>1119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721</v>
      </c>
      <c r="D21" s="394">
        <f>SUM(D11:D20)</f>
        <v>798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11735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-11735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>
        <v>-92</v>
      </c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-640</v>
      </c>
      <c r="D40" s="118">
        <v>-668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-732</v>
      </c>
      <c r="D43" s="396">
        <f>SUM(D35:D42)</f>
        <v>-668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-11</v>
      </c>
      <c r="D44" s="226">
        <f>D43+D33+D21</f>
        <v>130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f>86+1+2</f>
        <v>89</v>
      </c>
      <c r="D45" s="227">
        <v>126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78</v>
      </c>
      <c r="D46" s="229">
        <f>D45+D44</f>
        <v>256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f>1+47+30</f>
        <v>78</v>
      </c>
      <c r="D47" s="217">
        <f>157+1</f>
        <v>158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/>
      <c r="D48" s="201">
        <v>98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44529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ОПТИМА ОДИТ АД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.7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.7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.7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.75">
      <c r="A63" s="429"/>
      <c r="B63" s="434"/>
      <c r="C63" s="434"/>
      <c r="D63" s="434"/>
      <c r="E63" s="434"/>
      <c r="F63" s="309"/>
      <c r="G63" s="37"/>
      <c r="H63" s="35"/>
    </row>
    <row r="64" spans="1:8" ht="15.75">
      <c r="A64" s="429"/>
      <c r="B64" s="434"/>
      <c r="C64" s="434"/>
      <c r="D64" s="434"/>
      <c r="E64" s="434"/>
      <c r="F64" s="309"/>
      <c r="G64" s="37"/>
      <c r="H64" s="35"/>
    </row>
    <row r="65" spans="1:8" ht="15.75">
      <c r="A65" s="429"/>
      <c r="B65" s="434"/>
      <c r="C65" s="434"/>
      <c r="D65" s="434"/>
      <c r="E65" s="434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8">
      <selection activeCell="I30" sqref="I30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1.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1.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27766</v>
      </c>
      <c r="D13" s="319">
        <f>'1-Баланс'!H20</f>
        <v>7651</v>
      </c>
      <c r="E13" s="319">
        <f>'1-Баланс'!H21</f>
        <v>7508</v>
      </c>
      <c r="F13" s="319">
        <f>'1-Баланс'!H23</f>
        <v>1</v>
      </c>
      <c r="G13" s="319">
        <f>'1-Баланс'!H24</f>
        <v>0</v>
      </c>
      <c r="H13" s="320"/>
      <c r="I13" s="319">
        <f>'1-Баланс'!H29+'1-Баланс'!H32</f>
        <v>9768</v>
      </c>
      <c r="J13" s="319">
        <f>'1-Баланс'!H30+'1-Баланс'!H33</f>
        <v>-31871</v>
      </c>
      <c r="K13" s="320"/>
      <c r="L13" s="319">
        <f>SUM(C13:K13)</f>
        <v>20823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8">
        <f>C13+C14</f>
        <v>27766</v>
      </c>
      <c r="D17" s="388">
        <f aca="true" t="shared" si="2" ref="D17:M17">D13+D14</f>
        <v>7651</v>
      </c>
      <c r="E17" s="388">
        <f t="shared" si="2"/>
        <v>7508</v>
      </c>
      <c r="F17" s="388">
        <f t="shared" si="2"/>
        <v>1</v>
      </c>
      <c r="G17" s="388">
        <f t="shared" si="2"/>
        <v>0</v>
      </c>
      <c r="H17" s="388">
        <f t="shared" si="2"/>
        <v>0</v>
      </c>
      <c r="I17" s="388">
        <f t="shared" si="2"/>
        <v>9768</v>
      </c>
      <c r="J17" s="388">
        <f t="shared" si="2"/>
        <v>-31871</v>
      </c>
      <c r="K17" s="388">
        <f t="shared" si="2"/>
        <v>0</v>
      </c>
      <c r="L17" s="319">
        <f t="shared" si="1"/>
        <v>20823</v>
      </c>
      <c r="M17" s="389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0</v>
      </c>
      <c r="J18" s="319">
        <f>+'1-Баланс'!G33</f>
        <v>-1143</v>
      </c>
      <c r="K18" s="320"/>
      <c r="L18" s="319">
        <f t="shared" si="1"/>
        <v>-1143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9">
        <f t="shared" si="1"/>
        <v>0</v>
      </c>
      <c r="M30" s="235"/>
      <c r="N30" s="91"/>
    </row>
    <row r="31" spans="1:14" ht="15.75">
      <c r="A31" s="282" t="s">
        <v>501</v>
      </c>
      <c r="B31" s="283" t="s">
        <v>502</v>
      </c>
      <c r="C31" s="388">
        <f>C19+C22+C23+C26+C30+C29+C17+C18</f>
        <v>27766</v>
      </c>
      <c r="D31" s="388">
        <f aca="true" t="shared" si="6" ref="D31:M31">D19+D22+D23+D26+D30+D29+D17+D18</f>
        <v>7651</v>
      </c>
      <c r="E31" s="388">
        <f t="shared" si="6"/>
        <v>7508</v>
      </c>
      <c r="F31" s="388">
        <f t="shared" si="6"/>
        <v>1</v>
      </c>
      <c r="G31" s="388">
        <f t="shared" si="6"/>
        <v>0</v>
      </c>
      <c r="H31" s="388">
        <f t="shared" si="6"/>
        <v>0</v>
      </c>
      <c r="I31" s="388">
        <f t="shared" si="6"/>
        <v>9768</v>
      </c>
      <c r="J31" s="388">
        <f t="shared" si="6"/>
        <v>-33014</v>
      </c>
      <c r="K31" s="388">
        <f t="shared" si="6"/>
        <v>0</v>
      </c>
      <c r="L31" s="319">
        <f t="shared" si="1"/>
        <v>19680</v>
      </c>
      <c r="M31" s="389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9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27766</v>
      </c>
      <c r="D34" s="322">
        <f t="shared" si="7"/>
        <v>7651</v>
      </c>
      <c r="E34" s="322">
        <f t="shared" si="7"/>
        <v>7508</v>
      </c>
      <c r="F34" s="322">
        <f t="shared" si="7"/>
        <v>1</v>
      </c>
      <c r="G34" s="322">
        <f t="shared" si="7"/>
        <v>0</v>
      </c>
      <c r="H34" s="322">
        <f t="shared" si="7"/>
        <v>0</v>
      </c>
      <c r="I34" s="322">
        <f t="shared" si="7"/>
        <v>9768</v>
      </c>
      <c r="J34" s="322">
        <f t="shared" si="7"/>
        <v>-33014</v>
      </c>
      <c r="K34" s="322">
        <f t="shared" si="7"/>
        <v>0</v>
      </c>
      <c r="L34" s="386">
        <f t="shared" si="1"/>
        <v>19680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7" t="s">
        <v>640</v>
      </c>
      <c r="B38" s="435">
        <f>pdeReportingDate</f>
        <v>44529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ОПТИМА ОДИТ АД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.7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.7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.7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01.01.2021 г. до 30.09.2021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45869</v>
      </c>
      <c r="D6" s="410">
        <f aca="true" t="shared" si="0" ref="D6:D15">C6-E6</f>
        <v>0</v>
      </c>
      <c r="E6" s="409">
        <f>'1-Баланс'!G95</f>
        <v>45869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19680</v>
      </c>
      <c r="D7" s="410">
        <f t="shared" si="0"/>
        <v>-8086</v>
      </c>
      <c r="E7" s="409">
        <f>'1-Баланс'!G18</f>
        <v>27766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-1143</v>
      </c>
      <c r="D8" s="410">
        <f t="shared" si="0"/>
        <v>0</v>
      </c>
      <c r="E8" s="409">
        <f>ABS('2-Отчет за доходите'!C44)-ABS('2-Отчет за доходите'!G44)</f>
        <v>-1143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89</v>
      </c>
      <c r="D9" s="410">
        <f t="shared" si="0"/>
        <v>0</v>
      </c>
      <c r="E9" s="409">
        <f>'3-Отчет за паричния поток'!C45</f>
        <v>89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78</v>
      </c>
      <c r="D10" s="410">
        <f t="shared" si="0"/>
        <v>0</v>
      </c>
      <c r="E10" s="409">
        <f>'3-Отчет за паричния поток'!C46</f>
        <v>78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19680</v>
      </c>
      <c r="D11" s="410">
        <f t="shared" si="0"/>
        <v>0</v>
      </c>
      <c r="E11" s="409">
        <f>'4-Отчет за собствения капитал'!L34</f>
        <v>19680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-0.17590027700831026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-0.05807926829268293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-0.04364427813204017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-0.02491879046850814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0.8535554131966688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3.0543478260869565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2.822463768115942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0.021739130434782608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0.021739130434782608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0.18194036119277615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0.14166430486821163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0.5345427023958752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1.3307418699186992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0.5709520591248991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559</v>
      </c>
      <c r="E21" s="431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0.028404471544715447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0.08946262383668568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43.941275167785236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6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7549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6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284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6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12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6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6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45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6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14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6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7273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6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6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15177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6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19712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6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6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6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6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6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6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6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6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6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6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6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6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6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6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6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6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6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6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6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6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6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6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6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6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6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6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6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6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6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34910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6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586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6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6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240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6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6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6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6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826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6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6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3378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6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3964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6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6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6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6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6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2672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6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10049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6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6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6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6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6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6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6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6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47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6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31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6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6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6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78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6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6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10959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6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45869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6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27766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6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27766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6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6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6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6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6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27766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6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6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7508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6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6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6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6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6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15160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6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-22103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6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9768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6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-31871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6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6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6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-1143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6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-23246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6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19680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6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6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6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47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6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6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6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11735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6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9547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6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21329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6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6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6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6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1272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6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22601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6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6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6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2394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6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6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6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200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6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1524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6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257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6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63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6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350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6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1188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6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6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3588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6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6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6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6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3588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6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45869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6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547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6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419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6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37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6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679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6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113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6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0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6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6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5336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6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6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6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7131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6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559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6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1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6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6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113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6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674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6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7805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6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6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6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6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7805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6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6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6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6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6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6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6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6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6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7805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6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379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6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5116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6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1001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6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6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6498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6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164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6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6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6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6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6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6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6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6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6662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6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1143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6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6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6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6662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6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1143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6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1143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6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6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1143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6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7805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6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11379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6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-9463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6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6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-514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6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-878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6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6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6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-8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6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-2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6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207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6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721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6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6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6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6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6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6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6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6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6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6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6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6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6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6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11735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6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-11735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6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-92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6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-640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6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6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6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-732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6">
        <f t="shared" si="20"/>
        <v>44469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-11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6">
        <f t="shared" si="20"/>
        <v>44469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89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6">
        <f t="shared" si="20"/>
        <v>44469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78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6">
        <f t="shared" si="20"/>
        <v>44469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78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6">
        <f t="shared" si="20"/>
        <v>44469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0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6">
        <f aca="true" t="shared" si="23" ref="C218:C281">endDate</f>
        <v>44469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27766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6">
        <f t="shared" si="23"/>
        <v>44469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6">
        <f t="shared" si="23"/>
        <v>44469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6">
        <f t="shared" si="23"/>
        <v>44469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6">
        <f t="shared" si="23"/>
        <v>44469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27766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6">
        <f t="shared" si="23"/>
        <v>44469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6">
        <f t="shared" si="23"/>
        <v>44469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6">
        <f t="shared" si="23"/>
        <v>44469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6">
        <f t="shared" si="23"/>
        <v>44469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6">
        <f t="shared" si="23"/>
        <v>44469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6">
        <f t="shared" si="23"/>
        <v>44469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6">
        <f t="shared" si="23"/>
        <v>44469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6">
        <f t="shared" si="23"/>
        <v>44469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6">
        <f t="shared" si="23"/>
        <v>44469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6">
        <f t="shared" si="23"/>
        <v>44469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6">
        <f t="shared" si="23"/>
        <v>44469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6">
        <f t="shared" si="23"/>
        <v>44469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6">
        <f t="shared" si="23"/>
        <v>44469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6">
        <f t="shared" si="23"/>
        <v>44469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27766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6">
        <f t="shared" si="23"/>
        <v>44469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6">
        <f t="shared" si="23"/>
        <v>44469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6">
        <f t="shared" si="23"/>
        <v>44469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27766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6">
        <f t="shared" si="23"/>
        <v>44469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6">
        <f t="shared" si="23"/>
        <v>44469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6">
        <f t="shared" si="23"/>
        <v>44469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6">
        <f t="shared" si="23"/>
        <v>44469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6">
        <f t="shared" si="23"/>
        <v>44469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6">
        <f t="shared" si="23"/>
        <v>44469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6">
        <f t="shared" si="23"/>
        <v>44469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6">
        <f t="shared" si="23"/>
        <v>44469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6">
        <f t="shared" si="23"/>
        <v>44469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6">
        <f t="shared" si="23"/>
        <v>44469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6">
        <f t="shared" si="23"/>
        <v>44469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6">
        <f t="shared" si="23"/>
        <v>44469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6">
        <f t="shared" si="23"/>
        <v>44469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6">
        <f t="shared" si="23"/>
        <v>44469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6">
        <f t="shared" si="23"/>
        <v>44469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6">
        <f t="shared" si="23"/>
        <v>44469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6">
        <f t="shared" si="23"/>
        <v>44469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6">
        <f t="shared" si="23"/>
        <v>44469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6">
        <f t="shared" si="23"/>
        <v>44469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6">
        <f t="shared" si="23"/>
        <v>44469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6">
        <f t="shared" si="23"/>
        <v>44469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6">
        <f t="shared" si="23"/>
        <v>44469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6">
        <f t="shared" si="23"/>
        <v>44469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7508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6">
        <f t="shared" si="23"/>
        <v>44469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6">
        <f t="shared" si="23"/>
        <v>44469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6">
        <f t="shared" si="23"/>
        <v>44469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6">
        <f t="shared" si="23"/>
        <v>44469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7508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6">
        <f t="shared" si="23"/>
        <v>44469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6">
        <f t="shared" si="23"/>
        <v>44469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6">
        <f t="shared" si="23"/>
        <v>44469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6">
        <f t="shared" si="23"/>
        <v>44469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6">
        <f t="shared" si="23"/>
        <v>44469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6">
        <f t="shared" si="23"/>
        <v>44469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6">
        <f t="shared" si="23"/>
        <v>44469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6">
        <f t="shared" si="23"/>
        <v>44469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6">
        <f t="shared" si="23"/>
        <v>44469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6">
        <f t="shared" si="23"/>
        <v>44469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6">
        <f t="shared" si="23"/>
        <v>44469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6">
        <f t="shared" si="23"/>
        <v>44469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6">
        <f t="shared" si="23"/>
        <v>44469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6">
        <f t="shared" si="23"/>
        <v>44469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7508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6">
        <f t="shared" si="23"/>
        <v>44469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6">
        <f aca="true" t="shared" si="26" ref="C282:C345">endDate</f>
        <v>44469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6">
        <f t="shared" si="26"/>
        <v>44469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7508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6">
        <f t="shared" si="26"/>
        <v>44469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6">
        <f t="shared" si="26"/>
        <v>44469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6">
        <f t="shared" si="26"/>
        <v>44469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6">
        <f t="shared" si="26"/>
        <v>44469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6">
        <f t="shared" si="26"/>
        <v>44469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6">
        <f t="shared" si="26"/>
        <v>44469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6">
        <f t="shared" si="26"/>
        <v>44469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6">
        <f t="shared" si="26"/>
        <v>44469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6">
        <f t="shared" si="26"/>
        <v>44469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6">
        <f t="shared" si="26"/>
        <v>44469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6">
        <f t="shared" si="26"/>
        <v>44469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6">
        <f t="shared" si="26"/>
        <v>44469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6">
        <f t="shared" si="26"/>
        <v>44469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6">
        <f t="shared" si="26"/>
        <v>44469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6">
        <f t="shared" si="26"/>
        <v>44469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6">
        <f t="shared" si="26"/>
        <v>44469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6">
        <f t="shared" si="26"/>
        <v>44469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6">
        <f t="shared" si="26"/>
        <v>44469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6">
        <f t="shared" si="26"/>
        <v>44469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6">
        <f t="shared" si="26"/>
        <v>44469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6">
        <f t="shared" si="26"/>
        <v>44469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6">
        <f t="shared" si="26"/>
        <v>44469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6">
        <f t="shared" si="26"/>
        <v>44469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6">
        <f t="shared" si="26"/>
        <v>44469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6">
        <f t="shared" si="26"/>
        <v>44469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6">
        <f t="shared" si="26"/>
        <v>44469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6">
        <f t="shared" si="26"/>
        <v>44469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6">
        <f t="shared" si="26"/>
        <v>44469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6">
        <f t="shared" si="26"/>
        <v>44469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6">
        <f t="shared" si="26"/>
        <v>44469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6">
        <f t="shared" si="26"/>
        <v>44469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6">
        <f t="shared" si="26"/>
        <v>44469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6">
        <f t="shared" si="26"/>
        <v>44469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6">
        <f t="shared" si="26"/>
        <v>44469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6">
        <f t="shared" si="26"/>
        <v>44469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6">
        <f t="shared" si="26"/>
        <v>44469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6">
        <f t="shared" si="26"/>
        <v>44469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6">
        <f t="shared" si="26"/>
        <v>44469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6">
        <f t="shared" si="26"/>
        <v>44469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6">
        <f t="shared" si="26"/>
        <v>44469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6">
        <f t="shared" si="26"/>
        <v>44469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6">
        <f t="shared" si="26"/>
        <v>44469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6">
        <f t="shared" si="26"/>
        <v>44469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6">
        <f t="shared" si="26"/>
        <v>44469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6">
        <f t="shared" si="26"/>
        <v>44469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6">
        <f t="shared" si="26"/>
        <v>44469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6">
        <f t="shared" si="26"/>
        <v>44469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6">
        <f t="shared" si="26"/>
        <v>44469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6">
        <f t="shared" si="26"/>
        <v>44469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6">
        <f t="shared" si="26"/>
        <v>44469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6">
        <f t="shared" si="26"/>
        <v>44469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6">
        <f t="shared" si="26"/>
        <v>44469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6">
        <f t="shared" si="26"/>
        <v>44469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6">
        <f t="shared" si="26"/>
        <v>44469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6">
        <f t="shared" si="26"/>
        <v>44469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6">
        <f t="shared" si="26"/>
        <v>44469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6">
        <f t="shared" si="26"/>
        <v>44469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6">
        <f t="shared" si="26"/>
        <v>44469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6">
        <f t="shared" si="26"/>
        <v>44469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6">
        <f t="shared" si="26"/>
        <v>44469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6">
        <f t="shared" si="26"/>
        <v>44469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6">
        <f t="shared" si="26"/>
        <v>44469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6">
        <f aca="true" t="shared" si="29" ref="C346:C409">endDate</f>
        <v>44469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6">
        <f t="shared" si="29"/>
        <v>44469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6">
        <f t="shared" si="29"/>
        <v>44469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6">
        <f t="shared" si="29"/>
        <v>44469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6">
        <f t="shared" si="29"/>
        <v>44469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9768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6">
        <f t="shared" si="29"/>
        <v>44469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6">
        <f t="shared" si="29"/>
        <v>44469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6">
        <f t="shared" si="29"/>
        <v>44469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6">
        <f t="shared" si="29"/>
        <v>44469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9768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6">
        <f t="shared" si="29"/>
        <v>44469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6">
        <f t="shared" si="29"/>
        <v>44469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6">
        <f t="shared" si="29"/>
        <v>44469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6">
        <f t="shared" si="29"/>
        <v>44469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6">
        <f t="shared" si="29"/>
        <v>44469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6">
        <f t="shared" si="29"/>
        <v>44469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6">
        <f t="shared" si="29"/>
        <v>44469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6">
        <f t="shared" si="29"/>
        <v>44469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6">
        <f t="shared" si="29"/>
        <v>44469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6">
        <f t="shared" si="29"/>
        <v>44469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6">
        <f t="shared" si="29"/>
        <v>44469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6">
        <f t="shared" si="29"/>
        <v>44469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6">
        <f t="shared" si="29"/>
        <v>44469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6">
        <f t="shared" si="29"/>
        <v>44469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9768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6">
        <f t="shared" si="29"/>
        <v>44469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6">
        <f t="shared" si="29"/>
        <v>44469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6">
        <f t="shared" si="29"/>
        <v>44469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9768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6">
        <f t="shared" si="29"/>
        <v>44469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-31871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6">
        <f t="shared" si="29"/>
        <v>44469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6">
        <f t="shared" si="29"/>
        <v>44469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6">
        <f t="shared" si="29"/>
        <v>44469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6">
        <f t="shared" si="29"/>
        <v>44469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-31871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6">
        <f t="shared" si="29"/>
        <v>44469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-1143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6">
        <f t="shared" si="29"/>
        <v>44469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6">
        <f t="shared" si="29"/>
        <v>44469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6">
        <f t="shared" si="29"/>
        <v>44469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6">
        <f t="shared" si="29"/>
        <v>44469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6">
        <f t="shared" si="29"/>
        <v>44469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6">
        <f t="shared" si="29"/>
        <v>44469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6">
        <f t="shared" si="29"/>
        <v>44469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6">
        <f t="shared" si="29"/>
        <v>44469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6">
        <f t="shared" si="29"/>
        <v>44469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6">
        <f t="shared" si="29"/>
        <v>44469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6">
        <f t="shared" si="29"/>
        <v>44469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6">
        <f t="shared" si="29"/>
        <v>44469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6">
        <f t="shared" si="29"/>
        <v>44469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-33014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6">
        <f t="shared" si="29"/>
        <v>44469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6">
        <f t="shared" si="29"/>
        <v>44469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6">
        <f t="shared" si="29"/>
        <v>44469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-33014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6">
        <f t="shared" si="29"/>
        <v>44469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6">
        <f t="shared" si="29"/>
        <v>44469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6">
        <f t="shared" si="29"/>
        <v>44469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6">
        <f t="shared" si="29"/>
        <v>44469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6">
        <f t="shared" si="29"/>
        <v>44469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6">
        <f t="shared" si="29"/>
        <v>44469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6">
        <f t="shared" si="29"/>
        <v>44469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6">
        <f t="shared" si="29"/>
        <v>44469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6">
        <f t="shared" si="29"/>
        <v>44469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6">
        <f t="shared" si="29"/>
        <v>44469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6">
        <f t="shared" si="29"/>
        <v>44469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6">
        <f t="shared" si="29"/>
        <v>44469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6">
        <f t="shared" si="29"/>
        <v>44469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6">
        <f t="shared" si="29"/>
        <v>44469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6">
        <f t="shared" si="29"/>
        <v>44469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6">
        <f t="shared" si="29"/>
        <v>44469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6">
        <f aca="true" t="shared" si="32" ref="C410:C459">endDate</f>
        <v>44469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6">
        <f t="shared" si="32"/>
        <v>44469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6">
        <f t="shared" si="32"/>
        <v>44469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6">
        <f t="shared" si="32"/>
        <v>44469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6">
        <f t="shared" si="32"/>
        <v>44469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6">
        <f t="shared" si="32"/>
        <v>44469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6">
        <f t="shared" si="32"/>
        <v>44469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20823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6">
        <f t="shared" si="32"/>
        <v>44469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6">
        <f t="shared" si="32"/>
        <v>44469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6">
        <f t="shared" si="32"/>
        <v>44469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6">
        <f t="shared" si="32"/>
        <v>44469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20823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6">
        <f t="shared" si="32"/>
        <v>44469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-1143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6">
        <f t="shared" si="32"/>
        <v>44469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6">
        <f t="shared" si="32"/>
        <v>44469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6">
        <f t="shared" si="32"/>
        <v>44469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6">
        <f t="shared" si="32"/>
        <v>44469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6">
        <f t="shared" si="32"/>
        <v>44469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6">
        <f t="shared" si="32"/>
        <v>44469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6">
        <f t="shared" si="32"/>
        <v>44469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6">
        <f t="shared" si="32"/>
        <v>44469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6">
        <f t="shared" si="32"/>
        <v>44469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6">
        <f t="shared" si="32"/>
        <v>44469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6">
        <f t="shared" si="32"/>
        <v>44469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6">
        <f t="shared" si="32"/>
        <v>44469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6">
        <f t="shared" si="32"/>
        <v>44469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19680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6">
        <f t="shared" si="32"/>
        <v>44469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6">
        <f t="shared" si="32"/>
        <v>44469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6">
        <f t="shared" si="32"/>
        <v>44469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19680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6">
        <f t="shared" si="32"/>
        <v>44469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6">
        <f t="shared" si="32"/>
        <v>44469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6">
        <f t="shared" si="32"/>
        <v>44469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6">
        <f t="shared" si="32"/>
        <v>44469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6">
        <f t="shared" si="32"/>
        <v>44469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6">
        <f t="shared" si="32"/>
        <v>44469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6">
        <f t="shared" si="32"/>
        <v>44469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6">
        <f t="shared" si="32"/>
        <v>44469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6">
        <f t="shared" si="32"/>
        <v>44469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6">
        <f t="shared" si="32"/>
        <v>44469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6">
        <f t="shared" si="32"/>
        <v>44469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6">
        <f t="shared" si="32"/>
        <v>44469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6">
        <f t="shared" si="32"/>
        <v>44469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6">
        <f t="shared" si="32"/>
        <v>44469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6">
        <f t="shared" si="32"/>
        <v>44469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6">
        <f t="shared" si="32"/>
        <v>44469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6">
        <f t="shared" si="32"/>
        <v>44469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6">
        <f t="shared" si="32"/>
        <v>44469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6">
        <f t="shared" si="32"/>
        <v>44469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6">
        <f t="shared" si="32"/>
        <v>44469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6">
        <f t="shared" si="32"/>
        <v>44469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6">
        <f t="shared" si="32"/>
        <v>44469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2021-11-26T12:32:26Z</cp:lastPrinted>
  <dcterms:created xsi:type="dcterms:W3CDTF">2006-09-16T00:00:00Z</dcterms:created>
  <dcterms:modified xsi:type="dcterms:W3CDTF">2021-11-29T09:20:00Z</dcterms:modified>
  <cp:category/>
  <cp:version/>
  <cp:contentType/>
  <cp:contentStatus/>
</cp:coreProperties>
</file>